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7D39A6A5-0793-46F9-90ED-B29F54F6F3F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0" i="3" l="1"/>
  <c r="V38" i="3" l="1"/>
  <c r="V31" i="3"/>
  <c r="V29" i="3"/>
  <c r="V17" i="3"/>
  <c r="V16" i="3"/>
  <c r="J30" i="3" l="1"/>
  <c r="J17" i="3"/>
  <c r="W32" i="3" l="1"/>
  <c r="E51" i="3" l="1"/>
  <c r="E32" i="3"/>
  <c r="F32" i="3"/>
  <c r="D32" i="3"/>
  <c r="G20" i="3"/>
  <c r="K32" i="3" l="1"/>
  <c r="J32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0" i="3"/>
  <c r="S50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P54" i="3" l="1"/>
  <c r="S54" i="3" s="1"/>
  <c r="J54" i="3"/>
  <c r="M54" i="3" s="1"/>
  <c r="J53" i="3"/>
  <c r="M53" i="3" s="1"/>
  <c r="P53" i="3"/>
  <c r="S53" i="3" s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V53" i="3" l="1"/>
  <c r="Y53" i="3"/>
  <c r="V54" i="3"/>
  <c r="Y54" i="3" s="1"/>
  <c r="AA24" i="3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J52" i="3" l="1"/>
  <c r="M52" i="3" s="1"/>
  <c r="P52" i="3"/>
  <c r="S52" i="3" s="1"/>
  <c r="P51" i="3"/>
  <c r="S51" i="3" s="1"/>
  <c r="J51" i="3"/>
  <c r="M51" i="3" s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V52" i="3" l="1"/>
  <c r="V51" i="3"/>
  <c r="Y52" i="3"/>
  <c r="Y51" i="3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<sst xmlns="http://schemas.openxmlformats.org/spreadsheetml/2006/main" count="201" uniqueCount="111">
  <si>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</si>
  <si>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</si>
  <si>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</si>
  <si>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</si>
  <si>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</si>
  <si>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</si>
  <si>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</si>
  <si>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</si>
  <si>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</si>
  <si>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</si>
  <si>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</si>
  <si>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</si>
  <si>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</si>
  <si>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</si>
  <si>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</si>
  <si>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</si>
  <si>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</si>
  <si>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</si>
  <si>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</si>
  <si>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</si>
  <si>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</si>
  <si>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</si>
  <si>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</si>
  <si>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</si>
  <si>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</si>
  <si>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</si>
  <si>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</si>
  <si>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</si>
  <si>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</si>
  <si>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</si>
  <si>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</si>
  <si>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</si>
  <si>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</si>
  <si>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</si>
  <si>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</si>
  <si>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</si>
  <si>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</si>
  <si>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</si>
  <si>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</si>
  <si>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</si>
  <si>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</si>
  <si>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</si>
  <si>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</si>
  <si>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</si>
  <si>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</si>
  <si>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</si>
  <si>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</si>
  <si>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</si>
  <si>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</si>
  <si>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</si>
  <si>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</si>
  <si>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</si>
  <si>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</si>
  <si>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</si>
  <si>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</si>
  <si>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</si>
  <si>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</si>
  <si>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</si>
  <si>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</si>
  <si>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</si>
  <si>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</si>
  <si>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</si>
  <si>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</si>
  <si>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</si>
  <si>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</si>
  <si>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</si>
  <si>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</si>
  <si>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</si>
  <si>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</si>
  <si>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</si>
  <si>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</si>
  <si>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</si>
  <si>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</si>
  <si>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</si>
  <si>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</si>
  <si>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</si>
  <si>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</si>
  <si>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</si>
  <si>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</si>
  <si>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</si>
  <si>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</si>
  <si>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</si>
  <si>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</si>
  <si>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</si>
  <si>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</si>
  <si>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</si>
  <si>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</si>
  <si>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</si>
  <si>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</si>
  <si>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</si>
  <si>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</si>
  <si>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</si>
  <si>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</si>
  <si>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</si>
  <si>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</si>
  <si>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</si>
  <si>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</si>
  <si>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</si>
  <si>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</si>
  <si>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</si>
  <si>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</si>
  <si>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</si>
  <si>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Skutečnost k 30.6.2022</t>
  </si>
  <si>
    <t>Plán 2023 (návrh rozpočtu organizace)</t>
  </si>
  <si>
    <t>Porovnání s rokem 2022</t>
  </si>
  <si>
    <t>Základní škola Chomutov, Zahradní 5265</t>
  </si>
  <si>
    <t>Zahradní 5265</t>
  </si>
  <si>
    <t>Věra Čmejrková</t>
  </si>
  <si>
    <t>Mgr.Libuše Slavíková</t>
  </si>
  <si>
    <t>k 30.06.</t>
  </si>
  <si>
    <t>Upravený rozpočet (plán NaV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</si>
</sst>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view="pageBreakPreview" zoomScale="80" zoomScaleNormal="80" zoomScaleSheetLayoutView="80" workbookViewId="0">
      <selection activeCell="E14" sqref="E1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4.140625" customWidth="1"/>
    <col min="9" max="9" width="11.28515625" customWidth="1"/>
    <col min="10" max="10" width="16.140625" customWidth="1"/>
    <col min="11" max="11" width="17.85546875" customWidth="1"/>
    <col min="12" max="12" width="13.7109375" customWidth="1"/>
    <col min="13" max="13" width="23.42578125" style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105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46789677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106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7" t="s">
        <v>37</v>
      </c>
      <c r="C10" s="205" t="s">
        <v>38</v>
      </c>
      <c r="D10" s="162" t="s">
        <v>101</v>
      </c>
      <c r="E10" s="163"/>
      <c r="F10" s="163"/>
      <c r="G10" s="163"/>
      <c r="H10" s="163"/>
      <c r="I10" s="164"/>
      <c r="J10" s="162" t="s">
        <v>110</v>
      </c>
      <c r="K10" s="163"/>
      <c r="L10" s="163"/>
      <c r="M10" s="163"/>
      <c r="N10" s="163"/>
      <c r="O10" s="164"/>
      <c r="P10" s="162" t="s">
        <v>102</v>
      </c>
      <c r="Q10" s="163"/>
      <c r="R10" s="163"/>
      <c r="S10" s="163"/>
      <c r="T10" s="163"/>
      <c r="U10" s="164"/>
      <c r="V10" s="162" t="s">
        <v>103</v>
      </c>
      <c r="W10" s="163"/>
      <c r="X10" s="163"/>
      <c r="Y10" s="163"/>
      <c r="Z10" s="163"/>
      <c r="AA10" s="164"/>
      <c r="AB10" s="212" t="s">
        <v>104</v>
      </c>
      <c r="AC10" s="4"/>
      <c r="AD10" s="4"/>
    </row>
    <row r="11" spans="1:30" ht="30.75" customHeight="1" thickBot="1" x14ac:dyDescent="0.3">
      <c r="A11" s="5"/>
      <c r="B11" s="188"/>
      <c r="C11" s="206"/>
      <c r="D11" s="165" t="s">
        <v>39</v>
      </c>
      <c r="E11" s="166"/>
      <c r="F11" s="166"/>
      <c r="G11" s="167"/>
      <c r="H11" s="9" t="s">
        <v>40</v>
      </c>
      <c r="I11" s="9" t="s">
        <v>61</v>
      </c>
      <c r="J11" s="165" t="s">
        <v>39</v>
      </c>
      <c r="K11" s="166"/>
      <c r="L11" s="166"/>
      <c r="M11" s="167"/>
      <c r="N11" s="9" t="s">
        <v>40</v>
      </c>
      <c r="O11" s="9" t="s">
        <v>61</v>
      </c>
      <c r="P11" s="165" t="s">
        <v>39</v>
      </c>
      <c r="Q11" s="166"/>
      <c r="R11" s="166"/>
      <c r="S11" s="167"/>
      <c r="T11" s="9" t="s">
        <v>40</v>
      </c>
      <c r="U11" s="9" t="s">
        <v>61</v>
      </c>
      <c r="V11" s="165" t="s">
        <v>39</v>
      </c>
      <c r="W11" s="166"/>
      <c r="X11" s="166"/>
      <c r="Y11" s="167"/>
      <c r="Z11" s="9" t="s">
        <v>40</v>
      </c>
      <c r="AA11" s="9" t="s">
        <v>61</v>
      </c>
      <c r="AB11" s="213"/>
      <c r="AC11" s="4"/>
      <c r="AD11" s="4"/>
    </row>
    <row r="12" spans="1:30" ht="15.75" customHeight="1" thickBot="1" x14ac:dyDescent="0.3">
      <c r="A12" s="5"/>
      <c r="B12" s="188"/>
      <c r="C12" s="207"/>
      <c r="D12" s="168" t="s">
        <v>62</v>
      </c>
      <c r="E12" s="169"/>
      <c r="F12" s="169"/>
      <c r="G12" s="169"/>
      <c r="H12" s="169"/>
      <c r="I12" s="170"/>
      <c r="J12" s="168" t="s">
        <v>62</v>
      </c>
      <c r="K12" s="169"/>
      <c r="L12" s="169"/>
      <c r="M12" s="169"/>
      <c r="N12" s="169"/>
      <c r="O12" s="170"/>
      <c r="P12" s="168" t="s">
        <v>62</v>
      </c>
      <c r="Q12" s="169"/>
      <c r="R12" s="169"/>
      <c r="S12" s="169"/>
      <c r="T12" s="169"/>
      <c r="U12" s="170"/>
      <c r="V12" s="168" t="s">
        <v>62</v>
      </c>
      <c r="W12" s="169"/>
      <c r="X12" s="169"/>
      <c r="Y12" s="169"/>
      <c r="Z12" s="169"/>
      <c r="AA12" s="170"/>
      <c r="AB12" s="213"/>
      <c r="AC12" s="4"/>
      <c r="AD12" s="4"/>
    </row>
    <row r="13" spans="1:30" ht="15.75" customHeight="1" thickBot="1" x14ac:dyDescent="0.3">
      <c r="A13" s="5"/>
      <c r="B13" s="189"/>
      <c r="C13" s="208"/>
      <c r="D13" s="171" t="s">
        <v>57</v>
      </c>
      <c r="E13" s="172"/>
      <c r="F13" s="172"/>
      <c r="G13" s="173" t="s">
        <v>63</v>
      </c>
      <c r="H13" s="175" t="s">
        <v>66</v>
      </c>
      <c r="I13" s="177" t="s">
        <v>62</v>
      </c>
      <c r="J13" s="171" t="s">
        <v>57</v>
      </c>
      <c r="K13" s="172"/>
      <c r="L13" s="172"/>
      <c r="M13" s="173" t="s">
        <v>63</v>
      </c>
      <c r="N13" s="175" t="s">
        <v>66</v>
      </c>
      <c r="O13" s="177" t="s">
        <v>62</v>
      </c>
      <c r="P13" s="171" t="s">
        <v>57</v>
      </c>
      <c r="Q13" s="172"/>
      <c r="R13" s="172"/>
      <c r="S13" s="173" t="s">
        <v>63</v>
      </c>
      <c r="T13" s="175" t="s">
        <v>66</v>
      </c>
      <c r="U13" s="177" t="s">
        <v>62</v>
      </c>
      <c r="V13" s="171" t="s">
        <v>57</v>
      </c>
      <c r="W13" s="172"/>
      <c r="X13" s="172"/>
      <c r="Y13" s="173" t="s">
        <v>63</v>
      </c>
      <c r="Z13" s="175" t="s">
        <v>66</v>
      </c>
      <c r="AA13" s="177" t="s">
        <v>62</v>
      </c>
      <c r="AB13" s="213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74"/>
      <c r="H14" s="176"/>
      <c r="I14" s="178"/>
      <c r="J14" s="143" t="s">
        <v>58</v>
      </c>
      <c r="K14" s="144" t="s">
        <v>91</v>
      </c>
      <c r="L14" s="144" t="s">
        <v>59</v>
      </c>
      <c r="M14" s="174"/>
      <c r="N14" s="176"/>
      <c r="O14" s="178"/>
      <c r="P14" s="143" t="s">
        <v>58</v>
      </c>
      <c r="Q14" s="144" t="s">
        <v>91</v>
      </c>
      <c r="R14" s="144" t="s">
        <v>59</v>
      </c>
      <c r="S14" s="174"/>
      <c r="T14" s="176"/>
      <c r="U14" s="178"/>
      <c r="V14" s="143" t="s">
        <v>58</v>
      </c>
      <c r="W14" s="144" t="s">
        <v>91</v>
      </c>
      <c r="X14" s="144" t="s">
        <v>59</v>
      </c>
      <c r="Y14" s="174"/>
      <c r="Z14" s="176"/>
      <c r="AA14" s="178"/>
      <c r="AB14" s="214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1250.8</v>
      </c>
      <c r="G15" s="63">
        <f>SUM(D15:F15)</f>
        <v>1250.8</v>
      </c>
      <c r="H15" s="66">
        <v>3</v>
      </c>
      <c r="I15" s="14">
        <f>G15+H15</f>
        <v>1253.8</v>
      </c>
      <c r="J15" s="12"/>
      <c r="K15" s="13"/>
      <c r="L15" s="56">
        <v>1800</v>
      </c>
      <c r="M15" s="63">
        <f t="shared" ref="M15:M23" si="0">SUM(J15:L15)</f>
        <v>1800</v>
      </c>
      <c r="N15" s="66">
        <v>0</v>
      </c>
      <c r="O15" s="14">
        <f>M15+N15</f>
        <v>1800</v>
      </c>
      <c r="P15" s="12"/>
      <c r="Q15" s="13"/>
      <c r="R15" s="56">
        <v>1301.2</v>
      </c>
      <c r="S15" s="63">
        <f>SUM(P15:R15)</f>
        <v>1301.2</v>
      </c>
      <c r="T15" s="66">
        <v>5.5</v>
      </c>
      <c r="U15" s="14">
        <f>S15+T15</f>
        <v>1306.7</v>
      </c>
      <c r="V15" s="12"/>
      <c r="W15" s="13"/>
      <c r="X15" s="56">
        <v>2200</v>
      </c>
      <c r="Y15" s="63">
        <f>SUM(V15:X15)</f>
        <v>2200</v>
      </c>
      <c r="Z15" s="66">
        <v>0</v>
      </c>
      <c r="AA15" s="14">
        <f>Y15+Z15</f>
        <v>2200</v>
      </c>
      <c r="AB15" s="149">
        <f>(AA15/O15)</f>
        <v>1.2222222222222223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6375.9</v>
      </c>
      <c r="E16" s="16"/>
      <c r="F16" s="16"/>
      <c r="G16" s="64">
        <f t="shared" ref="G16:G23" si="1">SUM(D16:F16)</f>
        <v>6375.9</v>
      </c>
      <c r="H16" s="67"/>
      <c r="I16" s="14">
        <f t="shared" ref="I16:I23" si="2">G16+H16</f>
        <v>6375.9</v>
      </c>
      <c r="J16" s="57">
        <v>6810</v>
      </c>
      <c r="K16" s="16"/>
      <c r="L16" s="16"/>
      <c r="M16" s="64">
        <f t="shared" si="0"/>
        <v>6810</v>
      </c>
      <c r="N16" s="67"/>
      <c r="O16" s="14">
        <f t="shared" ref="O16:O20" si="3">M16+N16</f>
        <v>6810</v>
      </c>
      <c r="P16" s="57">
        <v>3710</v>
      </c>
      <c r="Q16" s="16"/>
      <c r="R16" s="16"/>
      <c r="S16" s="64">
        <f t="shared" ref="S16:S23" si="4">SUM(P16:R16)</f>
        <v>3710</v>
      </c>
      <c r="T16" s="67"/>
      <c r="U16" s="14">
        <f t="shared" ref="U16:U20" si="5">S16+T16</f>
        <v>3710</v>
      </c>
      <c r="V16" s="57">
        <f>8759-900</f>
        <v>7859</v>
      </c>
      <c r="W16" s="16"/>
      <c r="X16" s="16"/>
      <c r="Y16" s="64">
        <f t="shared" ref="Y16:Y23" si="6">SUM(V16:X16)</f>
        <v>7859</v>
      </c>
      <c r="Z16" s="67"/>
      <c r="AA16" s="14">
        <f t="shared" ref="AA16:AA20" si="7">Y16+Z16</f>
        <v>7859</v>
      </c>
      <c r="AB16" s="149">
        <f t="shared" ref="AB16:AB24" si="8">(AA16/O16)</f>
        <v>1.1540381791483114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893.2</v>
      </c>
      <c r="E17" s="17"/>
      <c r="F17" s="17"/>
      <c r="G17" s="64">
        <f t="shared" si="1"/>
        <v>893.2</v>
      </c>
      <c r="H17" s="68"/>
      <c r="I17" s="14">
        <f t="shared" si="2"/>
        <v>893.2</v>
      </c>
      <c r="J17" s="58">
        <f>574.9+1318.8</f>
        <v>1893.6999999999998</v>
      </c>
      <c r="K17" s="17"/>
      <c r="L17" s="17"/>
      <c r="M17" s="64">
        <f t="shared" si="0"/>
        <v>1893.6999999999998</v>
      </c>
      <c r="N17" s="68"/>
      <c r="O17" s="14">
        <f t="shared" si="3"/>
        <v>1893.6999999999998</v>
      </c>
      <c r="P17" s="58">
        <v>423.5</v>
      </c>
      <c r="Q17" s="17"/>
      <c r="R17" s="17"/>
      <c r="S17" s="64">
        <f t="shared" si="4"/>
        <v>423.5</v>
      </c>
      <c r="T17" s="68"/>
      <c r="U17" s="14">
        <f t="shared" si="5"/>
        <v>423.5</v>
      </c>
      <c r="V17" s="58">
        <f>194.9+233.1+45.1+50</f>
        <v>523.1</v>
      </c>
      <c r="W17" s="17"/>
      <c r="X17" s="17"/>
      <c r="Y17" s="64">
        <f t="shared" si="6"/>
        <v>523.1</v>
      </c>
      <c r="Z17" s="68"/>
      <c r="AA17" s="14">
        <f t="shared" si="7"/>
        <v>523.1</v>
      </c>
      <c r="AB17" s="149">
        <f t="shared" si="8"/>
        <v>0.27623171568886312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56612.2</v>
      </c>
      <c r="F18" s="17"/>
      <c r="G18" s="64">
        <f t="shared" si="1"/>
        <v>56612.2</v>
      </c>
      <c r="H18" s="66"/>
      <c r="I18" s="14">
        <f t="shared" si="2"/>
        <v>56612.2</v>
      </c>
      <c r="J18" s="18"/>
      <c r="K18" s="59">
        <v>57657.7</v>
      </c>
      <c r="L18" s="17"/>
      <c r="M18" s="64">
        <f t="shared" si="0"/>
        <v>57657.7</v>
      </c>
      <c r="N18" s="66"/>
      <c r="O18" s="14">
        <f t="shared" si="3"/>
        <v>57657.7</v>
      </c>
      <c r="P18" s="18"/>
      <c r="Q18" s="59">
        <v>27540.7</v>
      </c>
      <c r="R18" s="17"/>
      <c r="S18" s="64">
        <f t="shared" si="4"/>
        <v>27540.7</v>
      </c>
      <c r="T18" s="66"/>
      <c r="U18" s="14">
        <f t="shared" si="5"/>
        <v>27540.7</v>
      </c>
      <c r="V18" s="18"/>
      <c r="W18" s="59">
        <v>61581</v>
      </c>
      <c r="X18" s="17"/>
      <c r="Y18" s="64">
        <f t="shared" si="6"/>
        <v>61581</v>
      </c>
      <c r="Z18" s="66"/>
      <c r="AA18" s="14">
        <f t="shared" si="7"/>
        <v>61581</v>
      </c>
      <c r="AB18" s="149">
        <f t="shared" si="8"/>
        <v>1.0680446844046849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895.5</v>
      </c>
      <c r="G19" s="64">
        <f t="shared" si="1"/>
        <v>895.5</v>
      </c>
      <c r="H19" s="69"/>
      <c r="I19" s="14">
        <f t="shared" si="2"/>
        <v>895.5</v>
      </c>
      <c r="J19" s="19"/>
      <c r="K19" s="17"/>
      <c r="L19" s="60">
        <v>895.5</v>
      </c>
      <c r="M19" s="64">
        <f t="shared" si="0"/>
        <v>895.5</v>
      </c>
      <c r="N19" s="69"/>
      <c r="O19" s="14">
        <f t="shared" si="3"/>
        <v>895.5</v>
      </c>
      <c r="P19" s="19"/>
      <c r="Q19" s="17"/>
      <c r="R19" s="60">
        <v>447.8</v>
      </c>
      <c r="S19" s="64">
        <f t="shared" si="4"/>
        <v>447.8</v>
      </c>
      <c r="T19" s="69"/>
      <c r="U19" s="14">
        <f t="shared" si="5"/>
        <v>447.8</v>
      </c>
      <c r="V19" s="19"/>
      <c r="W19" s="17"/>
      <c r="X19" s="60">
        <v>895.5</v>
      </c>
      <c r="Y19" s="64">
        <f t="shared" si="6"/>
        <v>895.5</v>
      </c>
      <c r="Z19" s="69"/>
      <c r="AA19" s="14">
        <f t="shared" si="7"/>
        <v>895.5</v>
      </c>
      <c r="AB19" s="149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269.8</v>
      </c>
      <c r="G20" s="64">
        <f t="shared" si="1"/>
        <v>269.8</v>
      </c>
      <c r="H20" s="69"/>
      <c r="I20" s="14">
        <f t="shared" si="2"/>
        <v>269.8</v>
      </c>
      <c r="J20" s="18"/>
      <c r="K20" s="16"/>
      <c r="L20" s="61">
        <v>80</v>
      </c>
      <c r="M20" s="64">
        <f t="shared" si="0"/>
        <v>80</v>
      </c>
      <c r="N20" s="69"/>
      <c r="O20" s="14">
        <f t="shared" si="3"/>
        <v>80</v>
      </c>
      <c r="P20" s="18"/>
      <c r="Q20" s="16"/>
      <c r="R20" s="61">
        <v>139.80000000000001</v>
      </c>
      <c r="S20" s="64">
        <f t="shared" si="4"/>
        <v>139.80000000000001</v>
      </c>
      <c r="T20" s="69"/>
      <c r="U20" s="14">
        <f t="shared" si="5"/>
        <v>139.80000000000001</v>
      </c>
      <c r="V20" s="18"/>
      <c r="W20" s="16"/>
      <c r="X20" s="61">
        <v>160</v>
      </c>
      <c r="Y20" s="64">
        <f t="shared" si="6"/>
        <v>160</v>
      </c>
      <c r="Z20" s="69"/>
      <c r="AA20" s="14">
        <f t="shared" si="7"/>
        <v>160</v>
      </c>
      <c r="AB20" s="149">
        <f t="shared" si="8"/>
        <v>2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529.29999999999995</v>
      </c>
      <c r="G21" s="64">
        <f t="shared" si="1"/>
        <v>529.29999999999995</v>
      </c>
      <c r="H21" s="70">
        <v>140.5</v>
      </c>
      <c r="I21" s="14">
        <f>G21+H21</f>
        <v>669.8</v>
      </c>
      <c r="J21" s="18"/>
      <c r="K21" s="16"/>
      <c r="L21" s="61">
        <v>35</v>
      </c>
      <c r="M21" s="64">
        <f t="shared" si="0"/>
        <v>35</v>
      </c>
      <c r="N21" s="70">
        <v>120</v>
      </c>
      <c r="O21" s="14">
        <f>M21+N21</f>
        <v>155</v>
      </c>
      <c r="P21" s="18"/>
      <c r="Q21" s="16"/>
      <c r="R21" s="61">
        <v>139.6</v>
      </c>
      <c r="S21" s="64">
        <f t="shared" si="4"/>
        <v>139.6</v>
      </c>
      <c r="T21" s="70">
        <v>122.5</v>
      </c>
      <c r="U21" s="14">
        <f>S21+T21</f>
        <v>262.10000000000002</v>
      </c>
      <c r="V21" s="18"/>
      <c r="W21" s="16"/>
      <c r="X21" s="61">
        <v>140</v>
      </c>
      <c r="Y21" s="64">
        <f t="shared" si="6"/>
        <v>140</v>
      </c>
      <c r="Z21" s="70">
        <v>150</v>
      </c>
      <c r="AA21" s="14">
        <f>Y21+Z21</f>
        <v>290</v>
      </c>
      <c r="AB21" s="149">
        <f t="shared" si="8"/>
        <v>1.8709677419354838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140.5</v>
      </c>
      <c r="I22" s="14">
        <f t="shared" si="2"/>
        <v>140.5</v>
      </c>
      <c r="J22" s="18"/>
      <c r="K22" s="16"/>
      <c r="L22" s="61"/>
      <c r="M22" s="64">
        <f t="shared" si="0"/>
        <v>0</v>
      </c>
      <c r="N22" s="70">
        <v>120</v>
      </c>
      <c r="O22" s="14">
        <f t="shared" ref="O22:O23" si="9">M22+N22</f>
        <v>120</v>
      </c>
      <c r="P22" s="18"/>
      <c r="Q22" s="16"/>
      <c r="R22" s="61"/>
      <c r="S22" s="64">
        <f t="shared" si="4"/>
        <v>0</v>
      </c>
      <c r="T22" s="70">
        <v>122.5</v>
      </c>
      <c r="U22" s="14">
        <f t="shared" ref="U22:U23" si="10">S22+T22</f>
        <v>122.5</v>
      </c>
      <c r="V22" s="18"/>
      <c r="W22" s="16"/>
      <c r="X22" s="61"/>
      <c r="Y22" s="64">
        <f t="shared" si="6"/>
        <v>0</v>
      </c>
      <c r="Z22" s="70">
        <v>150</v>
      </c>
      <c r="AA22" s="14">
        <f t="shared" ref="AA22:AA23" si="11">Y22+Z22</f>
        <v>150</v>
      </c>
      <c r="AB22" s="149">
        <f t="shared" si="8"/>
        <v>1.25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7269.0999999999995</v>
      </c>
      <c r="E24" s="27">
        <f>SUM(E15:E21)</f>
        <v>56612.2</v>
      </c>
      <c r="F24" s="27">
        <f>SUM(F15:F21)</f>
        <v>2945.4000000000005</v>
      </c>
      <c r="G24" s="28">
        <f>SUM(D24:F24)</f>
        <v>66826.7</v>
      </c>
      <c r="H24" s="29">
        <f>SUM(H15:H21)</f>
        <v>143.5</v>
      </c>
      <c r="I24" s="29">
        <f>SUM(I15:I21)</f>
        <v>66970.200000000012</v>
      </c>
      <c r="J24" s="26">
        <f>SUM(J15:J21)</f>
        <v>8703.7000000000007</v>
      </c>
      <c r="K24" s="27">
        <f>SUM(K15:K21)</f>
        <v>57657.7</v>
      </c>
      <c r="L24" s="27">
        <f>SUM(L15:L21)</f>
        <v>2810.5</v>
      </c>
      <c r="M24" s="28">
        <f>SUM(J24:L24)</f>
        <v>69171.899999999994</v>
      </c>
      <c r="N24" s="29">
        <f>SUM(N15:N21)</f>
        <v>120</v>
      </c>
      <c r="O24" s="29">
        <f>SUM(O15:O21)</f>
        <v>69291.899999999994</v>
      </c>
      <c r="P24" s="26">
        <f>SUM(P15:P21)</f>
        <v>4133.5</v>
      </c>
      <c r="Q24" s="27">
        <f>SUM(Q15:Q21)</f>
        <v>27540.7</v>
      </c>
      <c r="R24" s="27">
        <f>SUM(R15:R21)</f>
        <v>2028.3999999999999</v>
      </c>
      <c r="S24" s="28">
        <f>SUM(P24:R24)</f>
        <v>33702.6</v>
      </c>
      <c r="T24" s="29">
        <f>SUM(T15:T21)</f>
        <v>128</v>
      </c>
      <c r="U24" s="29">
        <f>SUM(U15:U21)</f>
        <v>33830.600000000006</v>
      </c>
      <c r="V24" s="26">
        <f>SUM(V15:V21)</f>
        <v>8382.1</v>
      </c>
      <c r="W24" s="27">
        <f>SUM(W15:W21)</f>
        <v>61581</v>
      </c>
      <c r="X24" s="27">
        <f>SUM(X15:X21)</f>
        <v>3395.5</v>
      </c>
      <c r="Y24" s="28">
        <f>SUM(V24:X24)</f>
        <v>73358.600000000006</v>
      </c>
      <c r="Z24" s="29">
        <f>SUM(Z15:Z21)</f>
        <v>150</v>
      </c>
      <c r="AA24" s="29">
        <f>SUM(AA15:AA21)</f>
        <v>73508.600000000006</v>
      </c>
      <c r="AB24" s="153">
        <f t="shared" si="8"/>
        <v>1.0608541546703152</v>
      </c>
      <c r="AC24" s="4"/>
      <c r="AD24" s="4"/>
    </row>
    <row r="25" spans="1:30" ht="15.75" customHeight="1" thickBot="1" x14ac:dyDescent="0.3">
      <c r="A25" s="5"/>
      <c r="B25" s="30"/>
      <c r="C25" s="31"/>
      <c r="D25" s="179" t="s">
        <v>68</v>
      </c>
      <c r="E25" s="180"/>
      <c r="F25" s="180"/>
      <c r="G25" s="181"/>
      <c r="H25" s="181"/>
      <c r="I25" s="182"/>
      <c r="J25" s="179" t="s">
        <v>68</v>
      </c>
      <c r="K25" s="180"/>
      <c r="L25" s="180"/>
      <c r="M25" s="181"/>
      <c r="N25" s="181"/>
      <c r="O25" s="182"/>
      <c r="P25" s="179" t="s">
        <v>68</v>
      </c>
      <c r="Q25" s="180"/>
      <c r="R25" s="180"/>
      <c r="S25" s="181"/>
      <c r="T25" s="181"/>
      <c r="U25" s="182"/>
      <c r="V25" s="179" t="s">
        <v>68</v>
      </c>
      <c r="W25" s="180"/>
      <c r="X25" s="180"/>
      <c r="Y25" s="181"/>
      <c r="Z25" s="181"/>
      <c r="AA25" s="182"/>
      <c r="AB25" s="209" t="s">
        <v>104</v>
      </c>
      <c r="AC25" s="4"/>
      <c r="AD25" s="4"/>
    </row>
    <row r="26" spans="1:30" ht="15.75" thickBot="1" x14ac:dyDescent="0.3">
      <c r="A26" s="5"/>
      <c r="B26" s="193" t="s">
        <v>37</v>
      </c>
      <c r="C26" s="205" t="s">
        <v>38</v>
      </c>
      <c r="D26" s="183" t="s">
        <v>69</v>
      </c>
      <c r="E26" s="184"/>
      <c r="F26" s="184"/>
      <c r="G26" s="185" t="s">
        <v>64</v>
      </c>
      <c r="H26" s="195" t="s">
        <v>67</v>
      </c>
      <c r="I26" s="197" t="s">
        <v>68</v>
      </c>
      <c r="J26" s="183" t="s">
        <v>69</v>
      </c>
      <c r="K26" s="184"/>
      <c r="L26" s="184"/>
      <c r="M26" s="185" t="s">
        <v>64</v>
      </c>
      <c r="N26" s="195" t="s">
        <v>67</v>
      </c>
      <c r="O26" s="197" t="s">
        <v>68</v>
      </c>
      <c r="P26" s="183" t="s">
        <v>69</v>
      </c>
      <c r="Q26" s="184"/>
      <c r="R26" s="184"/>
      <c r="S26" s="185" t="s">
        <v>64</v>
      </c>
      <c r="T26" s="195" t="s">
        <v>67</v>
      </c>
      <c r="U26" s="197" t="s">
        <v>68</v>
      </c>
      <c r="V26" s="183" t="s">
        <v>69</v>
      </c>
      <c r="W26" s="184"/>
      <c r="X26" s="184"/>
      <c r="Y26" s="185" t="s">
        <v>64</v>
      </c>
      <c r="Z26" s="195" t="s">
        <v>67</v>
      </c>
      <c r="AA26" s="197" t="s">
        <v>68</v>
      </c>
      <c r="AB26" s="210"/>
      <c r="AC26" s="4"/>
      <c r="AD26" s="4"/>
    </row>
    <row r="27" spans="1:30" ht="15.75" thickBot="1" x14ac:dyDescent="0.3">
      <c r="A27" s="5"/>
      <c r="B27" s="194"/>
      <c r="C27" s="206"/>
      <c r="D27" s="32" t="s">
        <v>54</v>
      </c>
      <c r="E27" s="33" t="s">
        <v>55</v>
      </c>
      <c r="F27" s="34" t="s">
        <v>56</v>
      </c>
      <c r="G27" s="186"/>
      <c r="H27" s="196"/>
      <c r="I27" s="198"/>
      <c r="J27" s="32" t="s">
        <v>54</v>
      </c>
      <c r="K27" s="33" t="s">
        <v>55</v>
      </c>
      <c r="L27" s="34" t="s">
        <v>56</v>
      </c>
      <c r="M27" s="186"/>
      <c r="N27" s="196"/>
      <c r="O27" s="198"/>
      <c r="P27" s="32" t="s">
        <v>54</v>
      </c>
      <c r="Q27" s="33" t="s">
        <v>55</v>
      </c>
      <c r="R27" s="34" t="s">
        <v>56</v>
      </c>
      <c r="S27" s="186"/>
      <c r="T27" s="196"/>
      <c r="U27" s="198"/>
      <c r="V27" s="32" t="s">
        <v>54</v>
      </c>
      <c r="W27" s="33" t="s">
        <v>55</v>
      </c>
      <c r="X27" s="34" t="s">
        <v>56</v>
      </c>
      <c r="Y27" s="186"/>
      <c r="Z27" s="196"/>
      <c r="AA27" s="198"/>
      <c r="AB27" s="211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668.6</v>
      </c>
      <c r="E28" s="72"/>
      <c r="F28" s="72"/>
      <c r="G28" s="73">
        <f>SUM(D28:F28)</f>
        <v>668.6</v>
      </c>
      <c r="H28" s="73"/>
      <c r="I28" s="37">
        <f>G28+H28</f>
        <v>668.6</v>
      </c>
      <c r="J28" s="81">
        <v>900</v>
      </c>
      <c r="K28" s="72"/>
      <c r="L28" s="72"/>
      <c r="M28" s="73">
        <f>SUM(J28:L28)</f>
        <v>900</v>
      </c>
      <c r="N28" s="73"/>
      <c r="O28" s="37">
        <f>M28+N28</f>
        <v>900</v>
      </c>
      <c r="P28" s="81">
        <v>295.89999999999998</v>
      </c>
      <c r="Q28" s="72"/>
      <c r="R28" s="72"/>
      <c r="S28" s="73">
        <f>SUM(P28:R28)</f>
        <v>295.89999999999998</v>
      </c>
      <c r="T28" s="73"/>
      <c r="U28" s="37">
        <f>S28+T28</f>
        <v>295.89999999999998</v>
      </c>
      <c r="V28" s="81">
        <v>1080</v>
      </c>
      <c r="W28" s="72"/>
      <c r="X28" s="72"/>
      <c r="Y28" s="73">
        <f>SUM(V28:X28)</f>
        <v>1080</v>
      </c>
      <c r="Z28" s="73"/>
      <c r="AA28" s="37">
        <f>Y28+Z28</f>
        <v>1080</v>
      </c>
      <c r="AB28" s="149">
        <f t="shared" ref="AB28:AB41" si="12">(AA28/O28)</f>
        <v>1.2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734.1</v>
      </c>
      <c r="E29" s="74">
        <v>469.5</v>
      </c>
      <c r="F29" s="74">
        <v>1578</v>
      </c>
      <c r="G29" s="75">
        <f t="shared" ref="G29:G38" si="13">SUM(D29:F29)</f>
        <v>2781.6</v>
      </c>
      <c r="H29" s="76"/>
      <c r="I29" s="14">
        <f t="shared" ref="I29:I38" si="14">G29+H29</f>
        <v>2781.6</v>
      </c>
      <c r="J29" s="82">
        <v>713</v>
      </c>
      <c r="K29" s="74">
        <v>350</v>
      </c>
      <c r="L29" s="74">
        <v>1750</v>
      </c>
      <c r="M29" s="75">
        <f t="shared" ref="M29:M38" si="15">SUM(J29:L29)</f>
        <v>2813</v>
      </c>
      <c r="N29" s="76">
        <v>48</v>
      </c>
      <c r="O29" s="14">
        <f t="shared" ref="O29:O38" si="16">M29+N29</f>
        <v>2861</v>
      </c>
      <c r="P29" s="82">
        <v>181.3</v>
      </c>
      <c r="Q29" s="74">
        <v>33.9</v>
      </c>
      <c r="R29" s="74">
        <v>1338.9</v>
      </c>
      <c r="S29" s="75">
        <f t="shared" ref="S29:S38" si="17">SUM(P29:R29)</f>
        <v>1554.1000000000001</v>
      </c>
      <c r="T29" s="76"/>
      <c r="U29" s="14">
        <f t="shared" ref="U29:U38" si="18">S29+T29</f>
        <v>1554.1000000000001</v>
      </c>
      <c r="V29" s="82">
        <f>1080+65</f>
        <v>1145</v>
      </c>
      <c r="W29" s="74"/>
      <c r="X29" s="74">
        <v>2200</v>
      </c>
      <c r="Y29" s="75">
        <f t="shared" ref="Y29:Y38" si="19">SUM(V29:X29)</f>
        <v>3345</v>
      </c>
      <c r="Z29" s="76">
        <v>50</v>
      </c>
      <c r="AA29" s="14">
        <f t="shared" ref="AA29:AA38" si="20">Y29+Z29</f>
        <v>3395</v>
      </c>
      <c r="AB29" s="149">
        <f t="shared" si="12"/>
        <v>1.1866480251660259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2187.1999999999998</v>
      </c>
      <c r="E30" s="77"/>
      <c r="F30" s="77" t="s">
        <v>88</v>
      </c>
      <c r="G30" s="75">
        <f t="shared" si="13"/>
        <v>2187.1999999999998</v>
      </c>
      <c r="H30" s="75">
        <v>22.4</v>
      </c>
      <c r="I30" s="14">
        <f t="shared" si="14"/>
        <v>2209.6</v>
      </c>
      <c r="J30" s="83">
        <f>2615+1318.8</f>
        <v>3933.8</v>
      </c>
      <c r="K30" s="77"/>
      <c r="L30" s="77"/>
      <c r="M30" s="75">
        <f t="shared" si="15"/>
        <v>3933.8</v>
      </c>
      <c r="N30" s="75">
        <v>72</v>
      </c>
      <c r="O30" s="14">
        <f t="shared" si="16"/>
        <v>4005.8</v>
      </c>
      <c r="P30" s="83">
        <v>1429.8</v>
      </c>
      <c r="Q30" s="77"/>
      <c r="R30" s="77"/>
      <c r="S30" s="75">
        <f t="shared" si="17"/>
        <v>1429.8</v>
      </c>
      <c r="T30" s="75">
        <v>5.5</v>
      </c>
      <c r="U30" s="14">
        <f t="shared" si="18"/>
        <v>1435.3</v>
      </c>
      <c r="V30" s="83">
        <f>3494-900</f>
        <v>2594</v>
      </c>
      <c r="W30" s="77"/>
      <c r="X30" s="77"/>
      <c r="Y30" s="75">
        <f t="shared" si="19"/>
        <v>2594</v>
      </c>
      <c r="Z30" s="75">
        <v>35</v>
      </c>
      <c r="AA30" s="14">
        <f t="shared" si="20"/>
        <v>2629</v>
      </c>
      <c r="AB30" s="149">
        <f t="shared" si="12"/>
        <v>0.65629836736731739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983.8</v>
      </c>
      <c r="E31" s="77"/>
      <c r="F31" s="77">
        <v>2.6</v>
      </c>
      <c r="G31" s="75">
        <f t="shared" si="13"/>
        <v>986.4</v>
      </c>
      <c r="H31" s="75"/>
      <c r="I31" s="14">
        <f t="shared" si="14"/>
        <v>986.4</v>
      </c>
      <c r="J31" s="83">
        <v>890</v>
      </c>
      <c r="K31" s="77"/>
      <c r="L31" s="77">
        <v>80</v>
      </c>
      <c r="M31" s="75">
        <f t="shared" si="15"/>
        <v>970</v>
      </c>
      <c r="N31" s="75"/>
      <c r="O31" s="14">
        <f t="shared" si="16"/>
        <v>970</v>
      </c>
      <c r="P31" s="83">
        <v>483.6</v>
      </c>
      <c r="Q31" s="77">
        <v>25.3</v>
      </c>
      <c r="R31" s="77"/>
      <c r="S31" s="75">
        <f t="shared" si="17"/>
        <v>508.90000000000003</v>
      </c>
      <c r="T31" s="75"/>
      <c r="U31" s="14">
        <f t="shared" si="18"/>
        <v>508.90000000000003</v>
      </c>
      <c r="V31" s="83">
        <f>1024+25</f>
        <v>1049</v>
      </c>
      <c r="W31" s="77"/>
      <c r="X31" s="77">
        <v>80</v>
      </c>
      <c r="Y31" s="75">
        <f t="shared" si="19"/>
        <v>1129</v>
      </c>
      <c r="Z31" s="75"/>
      <c r="AA31" s="14">
        <f t="shared" si="20"/>
        <v>1129</v>
      </c>
      <c r="AB31" s="149">
        <f t="shared" si="12"/>
        <v>1.163917525773196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f>D33+D34</f>
        <v>616.1</v>
      </c>
      <c r="E32" s="78">
        <f t="shared" ref="E32:F32" si="21">E33+E34</f>
        <v>40602.5</v>
      </c>
      <c r="F32" s="78">
        <f t="shared" si="21"/>
        <v>128</v>
      </c>
      <c r="G32" s="75">
        <f t="shared" si="13"/>
        <v>41346.6</v>
      </c>
      <c r="H32" s="75"/>
      <c r="I32" s="14">
        <f t="shared" si="14"/>
        <v>41346.6</v>
      </c>
      <c r="J32" s="84">
        <f>J33+J34</f>
        <v>397.6</v>
      </c>
      <c r="K32" s="77">
        <f>K33+K34</f>
        <v>41880.5</v>
      </c>
      <c r="L32" s="77"/>
      <c r="M32" s="75">
        <f t="shared" si="15"/>
        <v>42278.1</v>
      </c>
      <c r="N32" s="75"/>
      <c r="O32" s="14">
        <f t="shared" si="16"/>
        <v>42278.1</v>
      </c>
      <c r="P32" s="84">
        <v>325.39999999999998</v>
      </c>
      <c r="Q32" s="77">
        <v>19888.599999999999</v>
      </c>
      <c r="R32" s="77">
        <v>178.7</v>
      </c>
      <c r="S32" s="75">
        <f t="shared" si="17"/>
        <v>20392.7</v>
      </c>
      <c r="T32" s="75"/>
      <c r="U32" s="14">
        <f t="shared" si="18"/>
        <v>20392.7</v>
      </c>
      <c r="V32" s="84">
        <v>315.17</v>
      </c>
      <c r="W32" s="77">
        <f>W33+W34</f>
        <v>44540</v>
      </c>
      <c r="X32" s="77"/>
      <c r="Y32" s="75">
        <f t="shared" si="19"/>
        <v>44855.17</v>
      </c>
      <c r="Z32" s="75"/>
      <c r="AA32" s="14">
        <f t="shared" si="20"/>
        <v>44855.17</v>
      </c>
      <c r="AB32" s="149">
        <f t="shared" si="12"/>
        <v>1.0609551990273924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468.5</v>
      </c>
      <c r="E33" s="77">
        <v>40071.4</v>
      </c>
      <c r="F33" s="77"/>
      <c r="G33" s="75">
        <f t="shared" si="13"/>
        <v>40539.9</v>
      </c>
      <c r="H33" s="75"/>
      <c r="I33" s="14">
        <f t="shared" si="14"/>
        <v>40539.9</v>
      </c>
      <c r="J33" s="84">
        <v>305.7</v>
      </c>
      <c r="K33" s="77">
        <v>41277.199999999997</v>
      </c>
      <c r="L33" s="77"/>
      <c r="M33" s="75">
        <f t="shared" si="15"/>
        <v>41582.899999999994</v>
      </c>
      <c r="N33" s="75"/>
      <c r="O33" s="14">
        <f t="shared" si="16"/>
        <v>41582.899999999994</v>
      </c>
      <c r="P33" s="84">
        <v>246.1</v>
      </c>
      <c r="Q33" s="77">
        <v>19207</v>
      </c>
      <c r="R33" s="77"/>
      <c r="S33" s="75">
        <f t="shared" si="17"/>
        <v>19453.099999999999</v>
      </c>
      <c r="T33" s="75"/>
      <c r="U33" s="14">
        <f t="shared" si="18"/>
        <v>19453.099999999999</v>
      </c>
      <c r="V33" s="84">
        <v>315.17</v>
      </c>
      <c r="W33" s="77">
        <v>44500</v>
      </c>
      <c r="X33" s="77"/>
      <c r="Y33" s="75">
        <f t="shared" si="19"/>
        <v>44815.17</v>
      </c>
      <c r="Z33" s="75"/>
      <c r="AA33" s="14">
        <f t="shared" si="20"/>
        <v>44815.17</v>
      </c>
      <c r="AB33" s="149">
        <f t="shared" si="12"/>
        <v>1.0777307498995983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147.6</v>
      </c>
      <c r="E34" s="77">
        <v>531.1</v>
      </c>
      <c r="F34" s="77">
        <v>128</v>
      </c>
      <c r="G34" s="75">
        <f t="shared" si="13"/>
        <v>806.7</v>
      </c>
      <c r="H34" s="75"/>
      <c r="I34" s="14">
        <f t="shared" si="14"/>
        <v>806.7</v>
      </c>
      <c r="J34" s="84">
        <v>91.9</v>
      </c>
      <c r="K34" s="77">
        <v>603.29999999999995</v>
      </c>
      <c r="L34" s="77"/>
      <c r="M34" s="75">
        <f>SUM(J34:L34)</f>
        <v>695.19999999999993</v>
      </c>
      <c r="N34" s="75"/>
      <c r="O34" s="14">
        <f t="shared" si="16"/>
        <v>695.19999999999993</v>
      </c>
      <c r="P34" s="84">
        <v>79.3</v>
      </c>
      <c r="Q34" s="77">
        <v>681.6</v>
      </c>
      <c r="R34" s="77">
        <v>178.7</v>
      </c>
      <c r="S34" s="75">
        <f t="shared" si="17"/>
        <v>939.59999999999991</v>
      </c>
      <c r="T34" s="75"/>
      <c r="U34" s="14">
        <f t="shared" si="18"/>
        <v>939.59999999999991</v>
      </c>
      <c r="V34" s="84" t="s">
        <v>88</v>
      </c>
      <c r="W34" s="77">
        <v>40</v>
      </c>
      <c r="X34" s="77"/>
      <c r="Y34" s="75">
        <f t="shared" si="19"/>
        <v>40</v>
      </c>
      <c r="Z34" s="75"/>
      <c r="AA34" s="14">
        <f t="shared" si="20"/>
        <v>40</v>
      </c>
      <c r="AB34" s="149">
        <f t="shared" si="12"/>
        <v>5.7537399309551214E-2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158.4</v>
      </c>
      <c r="E35" s="77">
        <v>13494.2</v>
      </c>
      <c r="F35" s="77"/>
      <c r="G35" s="75">
        <f t="shared" si="13"/>
        <v>13652.6</v>
      </c>
      <c r="H35" s="75"/>
      <c r="I35" s="14">
        <f t="shared" si="14"/>
        <v>13652.6</v>
      </c>
      <c r="J35" s="84">
        <v>103.3</v>
      </c>
      <c r="K35" s="77">
        <v>13951.7</v>
      </c>
      <c r="L35" s="77"/>
      <c r="M35" s="75">
        <f t="shared" si="15"/>
        <v>14055</v>
      </c>
      <c r="N35" s="75"/>
      <c r="O35" s="14">
        <f t="shared" si="16"/>
        <v>14055</v>
      </c>
      <c r="P35" s="84">
        <v>83</v>
      </c>
      <c r="Q35" s="77">
        <v>6419.2</v>
      </c>
      <c r="R35" s="77"/>
      <c r="S35" s="75">
        <f t="shared" si="17"/>
        <v>6502.2</v>
      </c>
      <c r="T35" s="75"/>
      <c r="U35" s="14">
        <f t="shared" si="18"/>
        <v>6502.2</v>
      </c>
      <c r="V35" s="84">
        <v>106.53</v>
      </c>
      <c r="W35" s="77">
        <v>15041</v>
      </c>
      <c r="X35" s="77"/>
      <c r="Y35" s="75">
        <f t="shared" si="19"/>
        <v>15147.53</v>
      </c>
      <c r="Z35" s="75"/>
      <c r="AA35" s="14">
        <f t="shared" si="20"/>
        <v>15147.53</v>
      </c>
      <c r="AB35" s="149">
        <f t="shared" si="12"/>
        <v>1.0777324795446461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3"/>
      <c r="K36" s="77"/>
      <c r="L36" s="77"/>
      <c r="M36" s="75">
        <f t="shared" si="15"/>
        <v>0</v>
      </c>
      <c r="N36" s="75"/>
      <c r="O36" s="14">
        <f t="shared" si="16"/>
        <v>0</v>
      </c>
      <c r="P36" s="83"/>
      <c r="Q36" s="77">
        <v>1173.7</v>
      </c>
      <c r="R36" s="77"/>
      <c r="S36" s="75">
        <f t="shared" si="17"/>
        <v>1173.7</v>
      </c>
      <c r="T36" s="75"/>
      <c r="U36" s="14">
        <f t="shared" si="18"/>
        <v>1173.7</v>
      </c>
      <c r="V36" s="83"/>
      <c r="W36" s="77"/>
      <c r="X36" s="77"/>
      <c r="Y36" s="75">
        <f t="shared" si="19"/>
        <v>0</v>
      </c>
      <c r="Z36" s="75"/>
      <c r="AA36" s="14">
        <f t="shared" si="20"/>
        <v>0</v>
      </c>
      <c r="AB36" s="149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1118.8</v>
      </c>
      <c r="E37" s="77"/>
      <c r="F37" s="77">
        <v>895.5</v>
      </c>
      <c r="G37" s="75">
        <f t="shared" si="13"/>
        <v>2014.3</v>
      </c>
      <c r="H37" s="75"/>
      <c r="I37" s="14">
        <f t="shared" si="14"/>
        <v>2014.3</v>
      </c>
      <c r="J37" s="83">
        <v>1096.3</v>
      </c>
      <c r="K37" s="77"/>
      <c r="L37" s="77">
        <v>895.5</v>
      </c>
      <c r="M37" s="75">
        <f t="shared" si="15"/>
        <v>1991.8</v>
      </c>
      <c r="N37" s="75"/>
      <c r="O37" s="14">
        <f t="shared" si="16"/>
        <v>1991.8</v>
      </c>
      <c r="P37" s="83">
        <v>563.79999999999995</v>
      </c>
      <c r="Q37" s="77"/>
      <c r="R37" s="77">
        <v>447.7</v>
      </c>
      <c r="S37" s="75">
        <f t="shared" si="17"/>
        <v>1011.5</v>
      </c>
      <c r="T37" s="75"/>
      <c r="U37" s="14">
        <f t="shared" si="18"/>
        <v>1011.5</v>
      </c>
      <c r="V37" s="83">
        <v>1311</v>
      </c>
      <c r="W37" s="77"/>
      <c r="X37" s="77"/>
      <c r="Y37" s="75">
        <f t="shared" si="19"/>
        <v>1311</v>
      </c>
      <c r="Z37" s="75"/>
      <c r="AA37" s="14">
        <f t="shared" si="20"/>
        <v>1311</v>
      </c>
      <c r="AB37" s="149">
        <f t="shared" si="12"/>
        <v>0.65819861431870674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995.1</v>
      </c>
      <c r="E38" s="79">
        <v>2046</v>
      </c>
      <c r="F38" s="79">
        <v>152.30000000000001</v>
      </c>
      <c r="G38" s="75">
        <f t="shared" si="13"/>
        <v>3193.4</v>
      </c>
      <c r="H38" s="80"/>
      <c r="I38" s="23">
        <f t="shared" si="14"/>
        <v>3193.4</v>
      </c>
      <c r="J38" s="85">
        <v>669.7</v>
      </c>
      <c r="K38" s="79">
        <v>1475.5</v>
      </c>
      <c r="L38" s="79">
        <v>85</v>
      </c>
      <c r="M38" s="80">
        <f t="shared" si="15"/>
        <v>2230.1999999999998</v>
      </c>
      <c r="N38" s="80"/>
      <c r="O38" s="23">
        <f t="shared" si="16"/>
        <v>2230.1999999999998</v>
      </c>
      <c r="P38" s="85">
        <v>332.3</v>
      </c>
      <c r="Q38" s="79"/>
      <c r="R38" s="79"/>
      <c r="S38" s="80">
        <f t="shared" si="17"/>
        <v>332.3</v>
      </c>
      <c r="T38" s="80"/>
      <c r="U38" s="23">
        <f t="shared" si="18"/>
        <v>332.3</v>
      </c>
      <c r="V38" s="85">
        <f>770+11.4</f>
        <v>781.4</v>
      </c>
      <c r="W38" s="79">
        <v>2000</v>
      </c>
      <c r="X38" s="79">
        <v>1115.5</v>
      </c>
      <c r="Y38" s="80">
        <f t="shared" si="19"/>
        <v>3896.9</v>
      </c>
      <c r="Z38" s="80">
        <v>65</v>
      </c>
      <c r="AA38" s="23">
        <f t="shared" si="20"/>
        <v>3961.9</v>
      </c>
      <c r="AB38" s="152">
        <f t="shared" si="12"/>
        <v>1.7764774459689716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7462.1</v>
      </c>
      <c r="E39" s="42">
        <f>SUM(E35:E38)+SUM(E28:E32)</f>
        <v>56612.2</v>
      </c>
      <c r="F39" s="42">
        <f>SUM(F35:F38)+SUM(F28:F32)</f>
        <v>2756.3999999999996</v>
      </c>
      <c r="G39" s="148">
        <f>SUM(D39:F39)</f>
        <v>66830.7</v>
      </c>
      <c r="H39" s="43">
        <f>SUM(H28:H32)+SUM(H35:H38)</f>
        <v>22.4</v>
      </c>
      <c r="I39" s="44">
        <f>SUM(I35:I38)+SUM(I28:I32)</f>
        <v>66853.099999999991</v>
      </c>
      <c r="J39" s="42">
        <f>SUM(J35:J38)+SUM(J28:J32)</f>
        <v>8703.7000000000007</v>
      </c>
      <c r="K39" s="42">
        <f>SUM(K35:K38)+SUM(K28:K32)</f>
        <v>57657.7</v>
      </c>
      <c r="L39" s="42">
        <f>SUM(L35:L38)+SUM(L28:L32)</f>
        <v>2810.5</v>
      </c>
      <c r="M39" s="148">
        <f>SUM(J39:L39)</f>
        <v>69171.899999999994</v>
      </c>
      <c r="N39" s="43">
        <f>SUM(N28:N32)+SUM(N35:N38)</f>
        <v>120</v>
      </c>
      <c r="O39" s="44">
        <f>SUM(O35:O38)+SUM(O28:O32)</f>
        <v>69291.899999999994</v>
      </c>
      <c r="P39" s="42">
        <f>SUM(P35:P38)+SUM(P28:P32)</f>
        <v>3695.1</v>
      </c>
      <c r="Q39" s="42">
        <f>SUM(Q35:Q38)+SUM(Q28:Q32)</f>
        <v>27540.699999999997</v>
      </c>
      <c r="R39" s="42">
        <f>SUM(R35:R38)+SUM(R28:R32)</f>
        <v>1965.3000000000002</v>
      </c>
      <c r="S39" s="148">
        <f>SUM(P39:R39)</f>
        <v>33201.1</v>
      </c>
      <c r="T39" s="43">
        <f>SUM(T28:T32)+SUM(T35:T38)</f>
        <v>5.5</v>
      </c>
      <c r="U39" s="44">
        <f>SUM(U35:U38)+SUM(U28:U32)</f>
        <v>33206.6</v>
      </c>
      <c r="V39" s="42">
        <f>SUM(V35:V38)+SUM(V28:V32)</f>
        <v>8382.1</v>
      </c>
      <c r="W39" s="42">
        <f>SUM(W35:W38)+SUM(W28:W32)</f>
        <v>61581</v>
      </c>
      <c r="X39" s="42">
        <f>SUM(X35:X38)+SUM(X28:X32)</f>
        <v>3395.5</v>
      </c>
      <c r="Y39" s="148">
        <f>SUM(V39:X39)</f>
        <v>73358.600000000006</v>
      </c>
      <c r="Z39" s="43">
        <f>SUM(Z28:Z32)+SUM(Z35:Z38)</f>
        <v>150</v>
      </c>
      <c r="AA39" s="44">
        <f>SUM(AA35:AA38)+SUM(AA28:AA32)</f>
        <v>73508.600000000006</v>
      </c>
      <c r="AB39" s="154">
        <f t="shared" si="12"/>
        <v>1.0608541546703152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2">D24-D39</f>
        <v>-193.00000000000091</v>
      </c>
      <c r="E40" s="111">
        <f t="shared" si="22"/>
        <v>0</v>
      </c>
      <c r="F40" s="111">
        <f t="shared" si="22"/>
        <v>189.00000000000091</v>
      </c>
      <c r="G40" s="120">
        <f t="shared" si="22"/>
        <v>-4</v>
      </c>
      <c r="H40" s="120">
        <f t="shared" si="22"/>
        <v>121.1</v>
      </c>
      <c r="I40" s="121">
        <f t="shared" si="22"/>
        <v>117.10000000002037</v>
      </c>
      <c r="J40" s="111">
        <f t="shared" si="22"/>
        <v>0</v>
      </c>
      <c r="K40" s="111">
        <f t="shared" si="22"/>
        <v>0</v>
      </c>
      <c r="L40" s="111">
        <f t="shared" si="22"/>
        <v>0</v>
      </c>
      <c r="M40" s="120">
        <f t="shared" si="22"/>
        <v>0</v>
      </c>
      <c r="N40" s="120">
        <f t="shared" si="22"/>
        <v>0</v>
      </c>
      <c r="O40" s="121">
        <f t="shared" si="22"/>
        <v>0</v>
      </c>
      <c r="P40" s="111">
        <f t="shared" ref="P40:U40" si="23">P24-P39</f>
        <v>438.40000000000009</v>
      </c>
      <c r="Q40" s="111">
        <f t="shared" si="23"/>
        <v>0</v>
      </c>
      <c r="R40" s="111">
        <f t="shared" si="23"/>
        <v>63.099999999999682</v>
      </c>
      <c r="S40" s="120">
        <f t="shared" si="23"/>
        <v>501.5</v>
      </c>
      <c r="T40" s="120">
        <f t="shared" si="23"/>
        <v>122.5</v>
      </c>
      <c r="U40" s="121">
        <f t="shared" si="23"/>
        <v>624.00000000000728</v>
      </c>
      <c r="V40" s="111">
        <f t="shared" ref="V40:AA40" si="24">V24-V39</f>
        <v>0</v>
      </c>
      <c r="W40" s="111">
        <f t="shared" si="24"/>
        <v>0</v>
      </c>
      <c r="X40" s="111">
        <f t="shared" si="24"/>
        <v>0</v>
      </c>
      <c r="Y40" s="120">
        <f t="shared" si="24"/>
        <v>0</v>
      </c>
      <c r="Z40" s="120">
        <f t="shared" si="24"/>
        <v>0</v>
      </c>
      <c r="AA40" s="121">
        <f t="shared" si="24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-6258.7999999999793</v>
      </c>
      <c r="J41" s="114"/>
      <c r="K41" s="115"/>
      <c r="L41" s="115"/>
      <c r="M41" s="116"/>
      <c r="N41" s="119"/>
      <c r="O41" s="118">
        <f>O40-J16</f>
        <v>-6810</v>
      </c>
      <c r="P41" s="114"/>
      <c r="Q41" s="115"/>
      <c r="R41" s="115"/>
      <c r="S41" s="116"/>
      <c r="T41" s="119"/>
      <c r="U41" s="118">
        <f>U40-P16</f>
        <v>-3085.9999999999927</v>
      </c>
      <c r="V41" s="114"/>
      <c r="W41" s="115"/>
      <c r="X41" s="115"/>
      <c r="Y41" s="116"/>
      <c r="Z41" s="119"/>
      <c r="AA41" s="118">
        <f>AA40-V16</f>
        <v>-7859</v>
      </c>
      <c r="AB41" s="149">
        <f t="shared" si="12"/>
        <v>1.1540381791483114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821.9</v>
      </c>
      <c r="E44" s="106">
        <v>821.9</v>
      </c>
      <c r="F44" s="107">
        <v>0</v>
      </c>
      <c r="G44" s="49"/>
      <c r="H44" s="49"/>
      <c r="I44" s="50"/>
      <c r="J44" s="96">
        <v>821.9</v>
      </c>
      <c r="K44" s="106">
        <v>821.9</v>
      </c>
      <c r="L44" s="107">
        <v>0</v>
      </c>
      <c r="M44" s="95"/>
      <c r="N44" s="95"/>
      <c r="O44" s="95"/>
      <c r="P44" s="96">
        <v>821.9</v>
      </c>
      <c r="Q44" s="106">
        <v>821.9</v>
      </c>
      <c r="R44" s="107">
        <v>0</v>
      </c>
      <c r="S44" s="4"/>
      <c r="T44" s="4"/>
      <c r="U44" s="4"/>
      <c r="V44" s="96">
        <v>821.9</v>
      </c>
      <c r="W44" s="106">
        <v>821.9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109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1515.1</v>
      </c>
      <c r="E51" s="86">
        <f>14.3+2582.6</f>
        <v>2596.9</v>
      </c>
      <c r="F51" s="86">
        <v>1486.3</v>
      </c>
      <c r="G51" s="52">
        <f t="shared" ref="G51:G54" si="25">D51+E51-F51</f>
        <v>2625.7</v>
      </c>
      <c r="H51" s="49"/>
      <c r="I51" s="4"/>
      <c r="J51" s="86">
        <f>G51</f>
        <v>2625.7</v>
      </c>
      <c r="K51" s="86"/>
      <c r="L51" s="86">
        <v>2434.6</v>
      </c>
      <c r="M51" s="52">
        <f t="shared" ref="M51:M54" si="26">J51+K51-L51</f>
        <v>191.09999999999991</v>
      </c>
      <c r="N51" s="4"/>
      <c r="O51" s="4"/>
      <c r="P51" s="86">
        <f>G51</f>
        <v>2625.7</v>
      </c>
      <c r="Q51" s="86">
        <v>207.2</v>
      </c>
      <c r="R51" s="86">
        <v>1528.9</v>
      </c>
      <c r="S51" s="52">
        <f t="shared" ref="S51:S54" si="27">P51+Q51-R51</f>
        <v>1303.9999999999995</v>
      </c>
      <c r="T51" s="4"/>
      <c r="U51" s="4"/>
      <c r="V51" s="86">
        <f>M51</f>
        <v>191.09999999999991</v>
      </c>
      <c r="W51" s="86">
        <v>150</v>
      </c>
      <c r="X51" s="86"/>
      <c r="Y51" s="52">
        <f t="shared" ref="Y51:Y54" si="28">V51+W51-X51</f>
        <v>341.09999999999991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653.9</v>
      </c>
      <c r="E52" s="86">
        <v>1118.8</v>
      </c>
      <c r="F52" s="86">
        <v>968.6</v>
      </c>
      <c r="G52" s="52">
        <f t="shared" si="25"/>
        <v>804.0999999999998</v>
      </c>
      <c r="H52" s="49"/>
      <c r="I52" s="4"/>
      <c r="J52" s="86">
        <f>G52</f>
        <v>804.0999999999998</v>
      </c>
      <c r="K52" s="86">
        <v>1096.3</v>
      </c>
      <c r="L52" s="86">
        <v>1521</v>
      </c>
      <c r="M52" s="52">
        <f t="shared" si="26"/>
        <v>379.39999999999964</v>
      </c>
      <c r="N52" s="4"/>
      <c r="O52" s="4"/>
      <c r="P52" s="86">
        <f>G52</f>
        <v>804.0999999999998</v>
      </c>
      <c r="Q52" s="86">
        <v>563.79999999999995</v>
      </c>
      <c r="R52" s="86">
        <v>647.9</v>
      </c>
      <c r="S52" s="52">
        <f t="shared" si="27"/>
        <v>719.99999999999966</v>
      </c>
      <c r="T52" s="4"/>
      <c r="U52" s="4"/>
      <c r="V52" s="86">
        <f t="shared" ref="V52:V54" si="29">M52</f>
        <v>379.39999999999964</v>
      </c>
      <c r="W52" s="86">
        <v>1200</v>
      </c>
      <c r="X52" s="86">
        <v>1200</v>
      </c>
      <c r="Y52" s="52">
        <f t="shared" si="28"/>
        <v>379.39999999999964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189.7</v>
      </c>
      <c r="E53" s="86">
        <v>3.5</v>
      </c>
      <c r="F53" s="86">
        <v>27.9</v>
      </c>
      <c r="G53" s="52">
        <f t="shared" si="25"/>
        <v>165.29999999999998</v>
      </c>
      <c r="H53" s="49"/>
      <c r="I53" s="4"/>
      <c r="J53" s="86">
        <f>G53</f>
        <v>165.29999999999998</v>
      </c>
      <c r="K53" s="86"/>
      <c r="L53" s="86">
        <v>50</v>
      </c>
      <c r="M53" s="52">
        <f t="shared" si="26"/>
        <v>115.29999999999998</v>
      </c>
      <c r="N53" s="4"/>
      <c r="O53" s="4"/>
      <c r="P53" s="86">
        <f>G53</f>
        <v>165.29999999999998</v>
      </c>
      <c r="Q53" s="86">
        <v>23.8</v>
      </c>
      <c r="R53" s="86"/>
      <c r="S53" s="52">
        <f t="shared" si="27"/>
        <v>189.1</v>
      </c>
      <c r="T53" s="4"/>
      <c r="U53" s="4"/>
      <c r="V53" s="86">
        <f t="shared" si="29"/>
        <v>115.29999999999998</v>
      </c>
      <c r="W53" s="86"/>
      <c r="X53" s="86">
        <v>50</v>
      </c>
      <c r="Y53" s="52">
        <f t="shared" si="28"/>
        <v>65.299999999999983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979.3</v>
      </c>
      <c r="E54" s="86">
        <v>817.1</v>
      </c>
      <c r="F54" s="86">
        <v>385.5</v>
      </c>
      <c r="G54" s="52">
        <f t="shared" si="25"/>
        <v>1410.9</v>
      </c>
      <c r="H54" s="49"/>
      <c r="I54" s="4"/>
      <c r="J54" s="86">
        <f>G54</f>
        <v>1410.9</v>
      </c>
      <c r="K54" s="86">
        <v>830</v>
      </c>
      <c r="L54" s="86">
        <v>1100</v>
      </c>
      <c r="M54" s="52">
        <f t="shared" si="26"/>
        <v>1140.9000000000001</v>
      </c>
      <c r="N54" s="4"/>
      <c r="O54" s="4"/>
      <c r="P54" s="86">
        <f>G54</f>
        <v>1410.9</v>
      </c>
      <c r="Q54" s="86">
        <v>397.6</v>
      </c>
      <c r="R54" s="86">
        <v>318.60000000000002</v>
      </c>
      <c r="S54" s="52">
        <f t="shared" si="27"/>
        <v>1489.9</v>
      </c>
      <c r="T54" s="4"/>
      <c r="U54" s="4"/>
      <c r="V54" s="86">
        <f t="shared" si="29"/>
        <v>1140.9000000000001</v>
      </c>
      <c r="W54" s="86">
        <v>800</v>
      </c>
      <c r="X54" s="86">
        <v>1200</v>
      </c>
      <c r="Y54" s="52">
        <f t="shared" si="28"/>
        <v>740.90000000000009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86.1</v>
      </c>
      <c r="E57" s="87">
        <v>89.9</v>
      </c>
      <c r="F57" s="49"/>
      <c r="G57" s="49"/>
      <c r="H57" s="49"/>
      <c r="I57" s="50"/>
      <c r="J57" s="87">
        <v>91.5</v>
      </c>
      <c r="K57" s="49"/>
      <c r="L57" s="49"/>
      <c r="M57" s="49"/>
      <c r="N57" s="49"/>
      <c r="O57" s="50"/>
      <c r="P57" s="87">
        <v>91.5</v>
      </c>
      <c r="Q57" s="50"/>
      <c r="R57" s="50"/>
      <c r="S57" s="50"/>
      <c r="T57" s="50"/>
      <c r="U57" s="50"/>
      <c r="V57" s="87">
        <v>92.5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0"/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0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0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0"/>
      <c r="C82" s="191"/>
      <c r="D82" s="191"/>
      <c r="E82" s="191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44855</v>
      </c>
      <c r="D91" s="53" t="s">
        <v>77</v>
      </c>
      <c r="E91" s="191" t="s">
        <v>107</v>
      </c>
      <c r="F91" s="191"/>
      <c r="G91" s="191"/>
      <c r="H91" s="53"/>
      <c r="I91" s="53" t="s">
        <v>78</v>
      </c>
      <c r="J91" s="199" t="s">
        <v>108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59055118110236227" right="0" top="1.1811023622047245" bottom="0.78740157480314965" header="0.31496062992125984" footer="0.31496062992125984"/>
  <pageSetup paperSize="8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NR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2022-10-21T07:53:12Z</cp:lastPrinted>
  <dcterms:created xsi:type="dcterms:W3CDTF">2017-02-23T12:10:09Z</dcterms:created>
  <dcterms:modified xsi:type="dcterms:W3CDTF">2022-11-15T12:41:26Z</dcterms:modified>
</cp:coreProperties>
</file>